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ace8" sheetId="1" r:id="rId4"/>
  </sheets>
  <definedNames/>
  <calcPr/>
</workbook>
</file>

<file path=xl/sharedStrings.xml><?xml version="1.0" encoding="utf-8"?>
<sst xmlns="http://schemas.openxmlformats.org/spreadsheetml/2006/main" count="161" uniqueCount="87">
  <si>
    <t>expenses</t>
  </si>
  <si>
    <t>profit</t>
  </si>
  <si>
    <t>can edit</t>
  </si>
  <si>
    <t>UAE, Dubai</t>
  </si>
  <si>
    <t>USA, Miami</t>
  </si>
  <si>
    <t>Spain, Madrid</t>
  </si>
  <si>
    <t>Indonesia, Bali</t>
  </si>
  <si>
    <t>Your Country</t>
  </si>
  <si>
    <t>OFF-PLAN</t>
  </si>
  <si>
    <t>NAME</t>
  </si>
  <si>
    <t>Ananda</t>
  </si>
  <si>
    <t>HUB Miami Residences</t>
  </si>
  <si>
    <t>Buenavista</t>
  </si>
  <si>
    <t>The Pavilions</t>
  </si>
  <si>
    <t>Developer</t>
  </si>
  <si>
    <t>Tiger Properties</t>
  </si>
  <si>
    <t xml:space="preserve"> The John Buck Company</t>
  </si>
  <si>
    <t>DMARCHEE</t>
  </si>
  <si>
    <t>OXO</t>
  </si>
  <si>
    <t>Type</t>
  </si>
  <si>
    <t>Apartment</t>
  </si>
  <si>
    <t>Villa</t>
  </si>
  <si>
    <t>Unit</t>
  </si>
  <si>
    <t>2-bedroom</t>
  </si>
  <si>
    <t>Studio</t>
  </si>
  <si>
    <t>3-bedroom</t>
  </si>
  <si>
    <t>Handover</t>
  </si>
  <si>
    <t>Q2 2028 (3 years)</t>
  </si>
  <si>
    <t>Q3 2028</t>
  </si>
  <si>
    <t>Q2 2027</t>
  </si>
  <si>
    <t>UNIT PRICE</t>
  </si>
  <si>
    <t>Please enter your country details</t>
  </si>
  <si>
    <t>20% Downpayment</t>
  </si>
  <si>
    <t>20% On signing SPA</t>
  </si>
  <si>
    <t>10% Downpayment</t>
  </si>
  <si>
    <t>% Downpayment</t>
  </si>
  <si>
    <t>40% During construction</t>
  </si>
  <si>
    <t>10% Groundbreaking</t>
  </si>
  <si>
    <t>30% During Construction</t>
  </si>
  <si>
    <t>40% During Construction</t>
  </si>
  <si>
    <t>% During Construction</t>
  </si>
  <si>
    <t>10% On Handover</t>
  </si>
  <si>
    <t>10% top-off</t>
  </si>
  <si>
    <t>60% On Handover</t>
  </si>
  <si>
    <t>50% On Handover</t>
  </si>
  <si>
    <t>% On Handover</t>
  </si>
  <si>
    <t>30% After Handover (24 months)</t>
  </si>
  <si>
    <t>10% On Podium Completion</t>
  </si>
  <si>
    <t>Total Area (sq.ft)</t>
  </si>
  <si>
    <t>Price $ per sq.ft</t>
  </si>
  <si>
    <t>Additional Expenses</t>
  </si>
  <si>
    <t>IVA for off-plan 10%</t>
  </si>
  <si>
    <t>VAT (PPN) 12%</t>
  </si>
  <si>
    <t>VAT</t>
  </si>
  <si>
    <t>4% DLD</t>
  </si>
  <si>
    <t>Legal fees 1%</t>
  </si>
  <si>
    <t>BPHTB 5%</t>
  </si>
  <si>
    <t>Closing fees</t>
  </si>
  <si>
    <t>Admin Fee</t>
  </si>
  <si>
    <t>Admin fee 1,7%</t>
  </si>
  <si>
    <t>TOTAL INVESTMENT</t>
  </si>
  <si>
    <t>Title misc/recording/attorney</t>
  </si>
  <si>
    <t>Annual Gross Rental</t>
  </si>
  <si>
    <t>your meaning</t>
  </si>
  <si>
    <t>Total Annual Expenses</t>
  </si>
  <si>
    <t>Annual Service Charges (HOA)</t>
  </si>
  <si>
    <t>Annual community expenses</t>
  </si>
  <si>
    <t>Community expenses (HOA)</t>
  </si>
  <si>
    <t>-</t>
  </si>
  <si>
    <t>Property tax 0,4%</t>
  </si>
  <si>
    <t>Property tax %</t>
  </si>
  <si>
    <t>NET INCOME</t>
  </si>
  <si>
    <t>Annual HOA</t>
  </si>
  <si>
    <t>Insurrance</t>
  </si>
  <si>
    <t>PBB (Annual land tax) 0,5%</t>
  </si>
  <si>
    <t>Property tax 1,2%</t>
  </si>
  <si>
    <t>Proeprty Management 5%</t>
  </si>
  <si>
    <t>Property Management %</t>
  </si>
  <si>
    <t>Annual Rental Yield</t>
  </si>
  <si>
    <t>HO-6 insurrance</t>
  </si>
  <si>
    <t>Income tax 24% (non-citizen)</t>
  </si>
  <si>
    <t>Property Management 10%</t>
  </si>
  <si>
    <t>Income tax %</t>
  </si>
  <si>
    <t>Capital Appreciation (over 3 yrs)</t>
  </si>
  <si>
    <t>Income tax 24% (non-resident)</t>
  </si>
  <si>
    <t>Income tax 20% (non-resident)</t>
  </si>
  <si>
    <t>Capital Appreciation (over 2 yrs)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</si>
</sst>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>
      <b/>
      <color theme="1"/>
      <name val="Arial"/>
    </font>
    <font>
      <color theme="1"/>
      <name val="Arial"/>
    </font>
    <font>
      <b/>
      <sz val="11.0"/>
      <color rgb="FFFFFFFF"/>
      <name val="Arial"/>
    </font>
    <font/>
    <font>
      <b/>
      <u/>
      <color rgb="FF0000FF"/>
      <name val="Arial"/>
    </font>
    <font>
      <b/>
      <color theme="1"/>
      <name val="Arial"/>
      <scheme val="minor"/>
    </font>
    <font>
      <b/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EFEF"/>
        <bgColor rgb="FFFFEFEF"/>
      </patternFill>
    </fill>
    <fill>
      <patternFill patternType="solid">
        <fgColor rgb="FFF0FFEB"/>
        <bgColor rgb="FFF0FFEB"/>
      </patternFill>
    </fill>
    <fill>
      <patternFill patternType="solid">
        <fgColor rgb="FFFFE599"/>
        <bgColor rgb="FFFFE599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28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5" fontId="5" numFmtId="0" xfId="0" applyAlignment="1" applyFill="1" applyFont="1">
      <alignment horizontal="center" readingOrder="0"/>
    </xf>
    <xf borderId="1" fillId="5" fontId="5" numFmtId="0" xfId="0" applyAlignment="1" applyBorder="1" applyFont="1">
      <alignment horizontal="center" readingOrder="0"/>
    </xf>
    <xf borderId="2" fillId="0" fontId="6" numFmtId="0" xfId="0" applyBorder="1" applyFont="1"/>
    <xf borderId="1" fillId="6" fontId="4" numFmtId="0" xfId="0" applyBorder="1" applyFill="1" applyFont="1"/>
    <xf borderId="3" fillId="6" fontId="7" numFmtId="0" xfId="0" applyAlignment="1" applyBorder="1" applyFont="1">
      <alignment readingOrder="0"/>
    </xf>
    <xf borderId="3" fillId="6" fontId="3" numFmtId="0" xfId="0" applyAlignment="1" applyBorder="1" applyFont="1">
      <alignment readingOrder="0"/>
    </xf>
    <xf borderId="3" fillId="6" fontId="3" numFmtId="0" xfId="0" applyBorder="1" applyFont="1"/>
    <xf borderId="4" fillId="6" fontId="4" numFmtId="0" xfId="0" applyBorder="1" applyFont="1"/>
    <xf borderId="5" fillId="6" fontId="4" numFmtId="0" xfId="0" applyBorder="1" applyFont="1"/>
    <xf borderId="5" fillId="6" fontId="4" numFmtId="0" xfId="0" applyAlignment="1" applyBorder="1" applyFont="1">
      <alignment readingOrder="0"/>
    </xf>
    <xf borderId="6" fillId="0" fontId="4" numFmtId="0" xfId="0" applyBorder="1" applyFont="1"/>
    <xf borderId="5" fillId="0" fontId="4" numFmtId="0" xfId="0" applyBorder="1" applyFont="1"/>
    <xf borderId="4" fillId="0" fontId="1" numFmtId="0" xfId="0" applyBorder="1" applyFont="1"/>
    <xf borderId="5" fillId="0" fontId="1" numFmtId="0" xfId="0" applyBorder="1" applyFont="1"/>
    <xf borderId="7" fillId="0" fontId="1" numFmtId="0" xfId="0" applyBorder="1" applyFont="1"/>
    <xf borderId="8" fillId="2" fontId="3" numFmtId="0" xfId="0" applyBorder="1" applyFont="1"/>
    <xf borderId="9" fillId="4" fontId="3" numFmtId="3" xfId="0" applyAlignment="1" applyBorder="1" applyFont="1" applyNumberFormat="1">
      <alignment horizontal="right" readingOrder="0"/>
    </xf>
    <xf borderId="0" fillId="0" fontId="1" numFmtId="0" xfId="0" applyAlignment="1" applyFont="1">
      <alignment readingOrder="0"/>
    </xf>
    <xf borderId="5" fillId="0" fontId="4" numFmtId="3" xfId="0" applyAlignment="1" applyBorder="1" applyFont="1" applyNumberFormat="1">
      <alignment horizontal="right"/>
    </xf>
    <xf borderId="6" fillId="0" fontId="4" numFmtId="0" xfId="0" applyAlignment="1" applyBorder="1" applyFont="1">
      <alignment readingOrder="0"/>
    </xf>
    <xf borderId="10" fillId="4" fontId="4" numFmtId="10" xfId="0" applyAlignment="1" applyBorder="1" applyFont="1" applyNumberFormat="1">
      <alignment horizontal="right"/>
    </xf>
    <xf borderId="11" fillId="4" fontId="4" numFmtId="10" xfId="0" applyAlignment="1" applyBorder="1" applyFont="1" applyNumberFormat="1">
      <alignment horizontal="right"/>
    </xf>
    <xf borderId="12" fillId="0" fontId="4" numFmtId="0" xfId="0" applyAlignment="1" applyBorder="1" applyFont="1">
      <alignment readingOrder="0"/>
    </xf>
    <xf borderId="13" fillId="0" fontId="4" numFmtId="3" xfId="0" applyAlignment="1" applyBorder="1" applyFont="1" applyNumberFormat="1">
      <alignment horizontal="right"/>
    </xf>
    <xf borderId="12" fillId="0" fontId="1" numFmtId="0" xfId="0" applyAlignment="1" applyBorder="1" applyFont="1">
      <alignment readingOrder="0"/>
    </xf>
    <xf borderId="14" fillId="0" fontId="1" numFmtId="3" xfId="0" applyBorder="1" applyFont="1" applyNumberFormat="1"/>
    <xf borderId="15" fillId="4" fontId="1" numFmtId="10" xfId="0" applyBorder="1" applyFont="1" applyNumberFormat="1"/>
    <xf borderId="4" fillId="0" fontId="1" numFmtId="0" xfId="0" applyAlignment="1" applyBorder="1" applyFont="1">
      <alignment readingOrder="0"/>
    </xf>
    <xf borderId="16" fillId="0" fontId="4" numFmtId="0" xfId="0" applyAlignment="1" applyBorder="1" applyFont="1">
      <alignment readingOrder="0"/>
    </xf>
    <xf borderId="17" fillId="0" fontId="4" numFmtId="3" xfId="0" applyAlignment="1" applyBorder="1" applyFont="1" applyNumberFormat="1">
      <alignment horizontal="right"/>
    </xf>
    <xf borderId="18" fillId="0" fontId="1" numFmtId="0" xfId="0" applyBorder="1" applyFont="1"/>
    <xf borderId="18" fillId="0" fontId="4" numFmtId="3" xfId="0" applyAlignment="1" applyBorder="1" applyFont="1" applyNumberFormat="1">
      <alignment horizontal="right"/>
    </xf>
    <xf borderId="16" fillId="0" fontId="4" numFmtId="0" xfId="0" applyBorder="1" applyFont="1"/>
    <xf borderId="17" fillId="0" fontId="4" numFmtId="0" xfId="0" applyBorder="1" applyFont="1"/>
    <xf borderId="4" fillId="0" fontId="4" numFmtId="0" xfId="0" applyAlignment="1" applyBorder="1" applyFont="1">
      <alignment horizontal="center"/>
    </xf>
    <xf borderId="18" fillId="4" fontId="4" numFmtId="3" xfId="0" applyAlignment="1" applyBorder="1" applyFont="1" applyNumberFormat="1">
      <alignment horizontal="center" readingOrder="0"/>
    </xf>
    <xf borderId="16" fillId="0" fontId="1" numFmtId="0" xfId="0" applyBorder="1" applyFont="1"/>
    <xf borderId="18" fillId="0" fontId="4" numFmtId="1" xfId="0" applyAlignment="1" applyBorder="1" applyFont="1" applyNumberFormat="1">
      <alignment horizontal="center"/>
    </xf>
    <xf borderId="19" fillId="0" fontId="4" numFmtId="0" xfId="0" applyBorder="1" applyFont="1"/>
    <xf borderId="14" fillId="0" fontId="4" numFmtId="0" xfId="0" applyBorder="1" applyFont="1"/>
    <xf borderId="8" fillId="2" fontId="4" numFmtId="0" xfId="0" applyBorder="1" applyFont="1"/>
    <xf borderId="9" fillId="2" fontId="1" numFmtId="0" xfId="0" applyBorder="1" applyFont="1"/>
    <xf borderId="9" fillId="2" fontId="3" numFmtId="3" xfId="0" applyAlignment="1" applyBorder="1" applyFont="1" applyNumberFormat="1">
      <alignment horizontal="right"/>
    </xf>
    <xf borderId="19" fillId="0" fontId="1" numFmtId="0" xfId="0" applyBorder="1" applyFont="1"/>
    <xf borderId="14" fillId="0" fontId="1" numFmtId="0" xfId="0" applyBorder="1" applyFont="1"/>
    <xf borderId="10" fillId="4" fontId="1" numFmtId="10" xfId="0" applyBorder="1" applyFont="1" applyNumberFormat="1"/>
    <xf borderId="4" fillId="0" fontId="4" numFmtId="0" xfId="0" applyBorder="1" applyFont="1"/>
    <xf borderId="19" fillId="2" fontId="4" numFmtId="0" xfId="0" applyBorder="1" applyFont="1"/>
    <xf borderId="14" fillId="2" fontId="8" numFmtId="0" xfId="0" applyBorder="1" applyFont="1"/>
    <xf borderId="16" fillId="0" fontId="1" numFmtId="0" xfId="0" applyAlignment="1" applyBorder="1" applyFont="1">
      <alignment readingOrder="0"/>
    </xf>
    <xf borderId="17" fillId="0" fontId="1" numFmtId="0" xfId="0" applyBorder="1" applyFont="1"/>
    <xf borderId="8" fillId="7" fontId="3" numFmtId="0" xfId="0" applyBorder="1" applyFill="1" applyFont="1"/>
    <xf borderId="9" fillId="7" fontId="9" numFmtId="3" xfId="0" applyAlignment="1" applyBorder="1" applyFont="1" applyNumberFormat="1">
      <alignment horizontal="right"/>
    </xf>
    <xf borderId="16" fillId="7" fontId="3" numFmtId="0" xfId="0" applyBorder="1" applyFont="1"/>
    <xf borderId="17" fillId="7" fontId="9" numFmtId="3" xfId="0" applyAlignment="1" applyBorder="1" applyFont="1" applyNumberFormat="1">
      <alignment horizontal="right"/>
    </xf>
    <xf borderId="19" fillId="0" fontId="1" numFmtId="0" xfId="0" applyAlignment="1" applyBorder="1" applyFont="1">
      <alignment readingOrder="0"/>
    </xf>
    <xf borderId="14" fillId="0" fontId="1" numFmtId="0" xfId="0" applyAlignment="1" applyBorder="1" applyFont="1">
      <alignment readingOrder="0"/>
    </xf>
    <xf borderId="20" fillId="3" fontId="4" numFmtId="0" xfId="0" applyAlignment="1" applyBorder="1" applyFont="1">
      <alignment readingOrder="0"/>
    </xf>
    <xf borderId="21" fillId="4" fontId="4" numFmtId="3" xfId="0" applyAlignment="1" applyBorder="1" applyFont="1" applyNumberFormat="1">
      <alignment horizontal="right" readingOrder="0"/>
    </xf>
    <xf borderId="21" fillId="3" fontId="4" numFmtId="3" xfId="0" applyAlignment="1" applyBorder="1" applyFont="1" applyNumberFormat="1">
      <alignment readingOrder="0"/>
    </xf>
    <xf borderId="12" fillId="2" fontId="1" numFmtId="0" xfId="0" applyAlignment="1" applyBorder="1" applyFont="1">
      <alignment readingOrder="0"/>
    </xf>
    <xf borderId="13" fillId="2" fontId="1" numFmtId="3" xfId="0" applyBorder="1" applyFont="1" applyNumberFormat="1"/>
    <xf borderId="6" fillId="2" fontId="4" numFmtId="0" xfId="0" applyAlignment="1" applyBorder="1" applyFont="1">
      <alignment readingOrder="0"/>
    </xf>
    <xf borderId="5" fillId="2" fontId="4" numFmtId="3" xfId="0" applyAlignment="1" applyBorder="1" applyFont="1" applyNumberFormat="1">
      <alignment horizontal="right"/>
    </xf>
    <xf borderId="20" fillId="0" fontId="1" numFmtId="0" xfId="0" applyAlignment="1" applyBorder="1" applyFont="1">
      <alignment readingOrder="0"/>
    </xf>
    <xf borderId="21" fillId="0" fontId="1" numFmtId="3" xfId="0" applyAlignment="1" applyBorder="1" applyFont="1" applyNumberFormat="1">
      <alignment readingOrder="0"/>
    </xf>
    <xf borderId="21" fillId="4" fontId="1" numFmtId="3" xfId="0" applyAlignment="1" applyBorder="1" applyFont="1" applyNumberFormat="1">
      <alignment readingOrder="0"/>
    </xf>
    <xf borderId="10" fillId="4" fontId="1" numFmtId="3" xfId="0" applyAlignment="1" applyBorder="1" applyFont="1" applyNumberFormat="1">
      <alignment readingOrder="0"/>
    </xf>
    <xf borderId="8" fillId="0" fontId="4" numFmtId="0" xfId="0" applyBorder="1" applyFont="1"/>
    <xf borderId="9" fillId="0" fontId="4" numFmtId="0" xfId="0" applyBorder="1" applyFont="1"/>
    <xf borderId="6" fillId="0" fontId="1" numFmtId="0" xfId="0" applyAlignment="1" applyBorder="1" applyFont="1">
      <alignment readingOrder="0"/>
    </xf>
    <xf borderId="5" fillId="0" fontId="1" numFmtId="3" xfId="0" applyBorder="1" applyFont="1" applyNumberFormat="1"/>
    <xf borderId="11" fillId="4" fontId="1" numFmtId="9" xfId="0" applyAlignment="1" applyBorder="1" applyFont="1" applyNumberFormat="1">
      <alignment readingOrder="0"/>
    </xf>
    <xf borderId="22" fillId="8" fontId="3" numFmtId="0" xfId="0" applyBorder="1" applyFill="1" applyFont="1"/>
    <xf borderId="23" fillId="8" fontId="9" numFmtId="3" xfId="0" applyAlignment="1" applyBorder="1" applyFont="1" applyNumberFormat="1">
      <alignment horizontal="right"/>
    </xf>
    <xf borderId="20" fillId="0" fontId="4" numFmtId="0" xfId="0" applyAlignment="1" applyBorder="1" applyFont="1">
      <alignment readingOrder="0"/>
    </xf>
    <xf borderId="21" fillId="0" fontId="4" numFmtId="3" xfId="0" applyAlignment="1" applyBorder="1" applyFont="1" applyNumberFormat="1">
      <alignment horizontal="right"/>
    </xf>
    <xf borderId="5" fillId="0" fontId="1" numFmtId="3" xfId="0" applyAlignment="1" applyBorder="1" applyFont="1" applyNumberFormat="1">
      <alignment readingOrder="0"/>
    </xf>
    <xf borderId="5" fillId="4" fontId="1" numFmtId="3" xfId="0" applyAlignment="1" applyBorder="1" applyFont="1" applyNumberFormat="1">
      <alignment readingOrder="0"/>
    </xf>
    <xf borderId="11" fillId="4" fontId="1" numFmtId="3" xfId="0" applyAlignment="1" applyBorder="1" applyFont="1" applyNumberFormat="1">
      <alignment readingOrder="0"/>
    </xf>
    <xf borderId="0" fillId="0" fontId="4" numFmtId="0" xfId="0" applyFont="1"/>
    <xf borderId="1" fillId="0" fontId="4" numFmtId="0" xfId="0" applyBorder="1" applyFont="1"/>
    <xf borderId="2" fillId="8" fontId="9" numFmtId="164" xfId="0" applyAlignment="1" applyBorder="1" applyFont="1" applyNumberFormat="1">
      <alignment horizontal="right"/>
    </xf>
    <xf borderId="5" fillId="0" fontId="1" numFmtId="0" xfId="0" applyAlignment="1" applyBorder="1" applyFont="1">
      <alignment readingOrder="0"/>
    </xf>
    <xf borderId="13" fillId="4" fontId="1" numFmtId="3" xfId="0" applyBorder="1" applyFont="1" applyNumberFormat="1"/>
    <xf borderId="13" fillId="0" fontId="1" numFmtId="3" xfId="0" applyBorder="1" applyFont="1" applyNumberFormat="1"/>
    <xf borderId="15" fillId="4" fontId="1" numFmtId="9" xfId="0" applyAlignment="1" applyBorder="1" applyFont="1" applyNumberFormat="1">
      <alignment readingOrder="0"/>
    </xf>
    <xf borderId="22" fillId="0" fontId="4" numFmtId="0" xfId="0" applyAlignment="1" applyBorder="1" applyFont="1">
      <alignment readingOrder="0"/>
    </xf>
    <xf borderId="23" fillId="8" fontId="9" numFmtId="9" xfId="0" applyAlignment="1" applyBorder="1" applyFont="1" applyNumberFormat="1">
      <alignment horizontal="right" readingOrder="0"/>
    </xf>
    <xf borderId="13" fillId="4" fontId="1" numFmtId="1" xfId="0" applyBorder="1" applyFont="1" applyNumberFormat="1"/>
    <xf borderId="0" fillId="0" fontId="4" numFmtId="1" xfId="0" applyFont="1" applyNumberFormat="1"/>
    <xf borderId="24" fillId="8" fontId="3" numFmtId="0" xfId="0" applyBorder="1" applyFont="1"/>
    <xf borderId="25" fillId="8" fontId="9" numFmtId="3" xfId="0" applyAlignment="1" applyBorder="1" applyFont="1" applyNumberFormat="1">
      <alignment horizontal="right"/>
    </xf>
    <xf borderId="26" fillId="0" fontId="4" numFmtId="0" xfId="0" applyBorder="1" applyFont="1"/>
    <xf borderId="27" fillId="8" fontId="9" numFmtId="164" xfId="0" applyAlignment="1" applyBorder="1" applyFont="1" applyNumberFormat="1">
      <alignment horizontal="right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71500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ace8.ae/ru/projects/ananda-residence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16.0"/>
    <col customWidth="1" min="3" max="3" width="11.63"/>
    <col customWidth="1" min="4" max="4" width="24.88"/>
    <col customWidth="1" min="5" max="5" width="23.5"/>
    <col customWidth="1" min="7" max="7" width="27.25"/>
    <col customWidth="1" min="8" max="8" width="24.88"/>
    <col customWidth="1" min="10" max="10" width="29.38"/>
    <col customWidth="1" min="11" max="11" width="18.0"/>
    <col customWidth="1" min="13" max="13" width="33.25"/>
  </cols>
  <sheetData>
    <row r="1" ht="45.0" customHeight="1">
      <c r="A1" s="1"/>
    </row>
    <row r="2" ht="20.25" customHeight="1">
      <c r="B2" s="2" t="s">
        <v>0</v>
      </c>
    </row>
    <row r="3" ht="21.0" customHeight="1">
      <c r="B3" s="3" t="s">
        <v>1</v>
      </c>
    </row>
    <row r="4" ht="20.25" customHeight="1">
      <c r="B4" s="4" t="s">
        <v>2</v>
      </c>
    </row>
    <row r="5">
      <c r="A5" s="5" t="s">
        <v>3</v>
      </c>
      <c r="B5" s="6"/>
      <c r="C5" s="6"/>
      <c r="D5" s="5" t="s">
        <v>4</v>
      </c>
      <c r="E5" s="6"/>
      <c r="F5" s="6"/>
      <c r="G5" s="5" t="s">
        <v>5</v>
      </c>
      <c r="H5" s="6"/>
      <c r="I5" s="6"/>
      <c r="J5" s="5" t="s">
        <v>6</v>
      </c>
      <c r="M5" s="5" t="s">
        <v>7</v>
      </c>
    </row>
    <row r="6">
      <c r="A6" s="7" t="s">
        <v>8</v>
      </c>
      <c r="D6" s="7" t="s">
        <v>8</v>
      </c>
      <c r="G6" s="8" t="s">
        <v>8</v>
      </c>
      <c r="H6" s="9"/>
      <c r="J6" s="8" t="s">
        <v>8</v>
      </c>
      <c r="K6" s="9"/>
      <c r="M6" s="8" t="s">
        <v>8</v>
      </c>
      <c r="N6" s="9"/>
    </row>
    <row r="7">
      <c r="A7" s="10" t="s">
        <v>9</v>
      </c>
      <c r="B7" s="11" t="s">
        <v>10</v>
      </c>
      <c r="D7" s="10" t="s">
        <v>9</v>
      </c>
      <c r="E7" s="12" t="s">
        <v>11</v>
      </c>
      <c r="G7" s="10" t="s">
        <v>9</v>
      </c>
      <c r="H7" s="12" t="s">
        <v>12</v>
      </c>
      <c r="J7" s="10" t="s">
        <v>9</v>
      </c>
      <c r="K7" s="12" t="s">
        <v>13</v>
      </c>
      <c r="M7" s="10" t="s">
        <v>9</v>
      </c>
      <c r="N7" s="13"/>
    </row>
    <row r="8">
      <c r="A8" s="14" t="s">
        <v>14</v>
      </c>
      <c r="B8" s="15" t="s">
        <v>15</v>
      </c>
      <c r="D8" s="14" t="s">
        <v>14</v>
      </c>
      <c r="E8" s="16" t="s">
        <v>16</v>
      </c>
      <c r="G8" s="14" t="s">
        <v>14</v>
      </c>
      <c r="H8" s="16" t="s">
        <v>17</v>
      </c>
      <c r="J8" s="14" t="s">
        <v>14</v>
      </c>
      <c r="K8" s="16" t="s">
        <v>18</v>
      </c>
      <c r="M8" s="14" t="s">
        <v>14</v>
      </c>
      <c r="N8" s="15"/>
    </row>
    <row r="9">
      <c r="A9" s="14" t="s">
        <v>19</v>
      </c>
      <c r="B9" s="15" t="s">
        <v>20</v>
      </c>
      <c r="D9" s="14" t="s">
        <v>19</v>
      </c>
      <c r="E9" s="15" t="s">
        <v>20</v>
      </c>
      <c r="G9" s="14" t="s">
        <v>19</v>
      </c>
      <c r="H9" s="15" t="s">
        <v>20</v>
      </c>
      <c r="J9" s="14" t="s">
        <v>19</v>
      </c>
      <c r="K9" s="16" t="s">
        <v>21</v>
      </c>
      <c r="M9" s="14" t="s">
        <v>19</v>
      </c>
      <c r="N9" s="15"/>
    </row>
    <row r="10">
      <c r="A10" s="14" t="s">
        <v>22</v>
      </c>
      <c r="B10" s="16" t="s">
        <v>23</v>
      </c>
      <c r="D10" s="14" t="s">
        <v>22</v>
      </c>
      <c r="E10" s="16" t="s">
        <v>24</v>
      </c>
      <c r="G10" s="14" t="s">
        <v>22</v>
      </c>
      <c r="H10" s="16" t="s">
        <v>23</v>
      </c>
      <c r="J10" s="14" t="s">
        <v>22</v>
      </c>
      <c r="K10" s="16" t="s">
        <v>25</v>
      </c>
      <c r="M10" s="14" t="s">
        <v>22</v>
      </c>
      <c r="N10" s="15"/>
    </row>
    <row r="11">
      <c r="A11" s="14" t="s">
        <v>26</v>
      </c>
      <c r="B11" s="16" t="s">
        <v>27</v>
      </c>
      <c r="D11" s="14" t="s">
        <v>26</v>
      </c>
      <c r="E11" s="16" t="s">
        <v>27</v>
      </c>
      <c r="G11" s="14" t="s">
        <v>26</v>
      </c>
      <c r="H11" s="16" t="s">
        <v>28</v>
      </c>
      <c r="J11" s="14" t="s">
        <v>26</v>
      </c>
      <c r="K11" s="16" t="s">
        <v>29</v>
      </c>
      <c r="M11" s="14" t="s">
        <v>26</v>
      </c>
      <c r="N11" s="15"/>
    </row>
    <row r="12">
      <c r="A12" s="17"/>
      <c r="B12" s="18"/>
      <c r="D12" s="17"/>
      <c r="E12" s="18"/>
      <c r="G12" s="19"/>
      <c r="H12" s="20"/>
      <c r="J12" s="19"/>
      <c r="K12" s="20"/>
      <c r="M12" s="19"/>
      <c r="N12" s="20"/>
      <c r="O12" s="21"/>
    </row>
    <row r="13">
      <c r="A13" s="22" t="s">
        <v>30</v>
      </c>
      <c r="B13" s="23">
        <v>550000.0</v>
      </c>
      <c r="D13" s="22" t="s">
        <v>30</v>
      </c>
      <c r="E13" s="23">
        <v>530000.0</v>
      </c>
      <c r="G13" s="22" t="s">
        <v>30</v>
      </c>
      <c r="H13" s="23">
        <v>550000.0</v>
      </c>
      <c r="J13" s="22" t="s">
        <v>30</v>
      </c>
      <c r="K13" s="23">
        <v>560000.0</v>
      </c>
      <c r="M13" s="22" t="s">
        <v>30</v>
      </c>
      <c r="N13" s="23">
        <v>0.0</v>
      </c>
      <c r="O13" s="24" t="s">
        <v>31</v>
      </c>
    </row>
    <row r="14">
      <c r="A14" s="17" t="s">
        <v>32</v>
      </c>
      <c r="B14" s="25">
        <f>B13*0.2</f>
        <v>110000</v>
      </c>
      <c r="D14" s="26" t="s">
        <v>33</v>
      </c>
      <c r="E14" s="25">
        <f>E13*0.2</f>
        <v>106000</v>
      </c>
      <c r="G14" s="26" t="s">
        <v>34</v>
      </c>
      <c r="H14" s="25">
        <f>H13*0.1</f>
        <v>55000</v>
      </c>
      <c r="J14" s="26" t="s">
        <v>34</v>
      </c>
      <c r="K14" s="25">
        <f>K13*0.1</f>
        <v>56000</v>
      </c>
      <c r="M14" s="26" t="s">
        <v>35</v>
      </c>
      <c r="N14" s="25">
        <f>N13*O14</f>
        <v>0</v>
      </c>
      <c r="O14" s="27">
        <v>0.3</v>
      </c>
    </row>
    <row r="15">
      <c r="A15" s="17" t="s">
        <v>36</v>
      </c>
      <c r="B15" s="25">
        <f>B13*0.4</f>
        <v>220000</v>
      </c>
      <c r="D15" s="26" t="s">
        <v>37</v>
      </c>
      <c r="E15" s="25">
        <f>E13*0.1</f>
        <v>53000</v>
      </c>
      <c r="G15" s="26" t="s">
        <v>38</v>
      </c>
      <c r="H15" s="25">
        <f>H13*0.3</f>
        <v>165000</v>
      </c>
      <c r="J15" s="26" t="s">
        <v>39</v>
      </c>
      <c r="K15" s="25">
        <f>K13*0.4</f>
        <v>224000</v>
      </c>
      <c r="M15" s="26" t="s">
        <v>40</v>
      </c>
      <c r="N15" s="25">
        <f>N13*O15</f>
        <v>0</v>
      </c>
      <c r="O15" s="28">
        <v>0.3</v>
      </c>
    </row>
    <row r="16">
      <c r="A16" s="17" t="s">
        <v>41</v>
      </c>
      <c r="B16" s="25">
        <f>B13*0.1</f>
        <v>55000</v>
      </c>
      <c r="D16" s="26" t="s">
        <v>42</v>
      </c>
      <c r="E16" s="25">
        <f>E13*0.1</f>
        <v>53000</v>
      </c>
      <c r="G16" s="26" t="s">
        <v>43</v>
      </c>
      <c r="H16" s="25">
        <f>H13*0.6</f>
        <v>330000</v>
      </c>
      <c r="J16" s="29" t="s">
        <v>44</v>
      </c>
      <c r="K16" s="30">
        <f>K13*0.5</f>
        <v>280000</v>
      </c>
      <c r="M16" s="31" t="s">
        <v>45</v>
      </c>
      <c r="N16" s="32">
        <f>N13*O16</f>
        <v>0</v>
      </c>
      <c r="O16" s="33">
        <v>0.3</v>
      </c>
    </row>
    <row r="17">
      <c r="A17" s="17" t="s">
        <v>46</v>
      </c>
      <c r="B17" s="25">
        <f>B13*0.3</f>
        <v>165000</v>
      </c>
      <c r="D17" s="34" t="s">
        <v>47</v>
      </c>
      <c r="E17" s="25">
        <f>E13*0.1</f>
        <v>53000</v>
      </c>
      <c r="G17" s="35"/>
      <c r="H17" s="36"/>
      <c r="J17" s="19"/>
      <c r="K17" s="37"/>
      <c r="M17" s="34"/>
      <c r="N17" s="38"/>
    </row>
    <row r="18">
      <c r="A18" s="39"/>
      <c r="B18" s="40"/>
      <c r="D18" s="34" t="s">
        <v>44</v>
      </c>
      <c r="E18" s="25">
        <f>E13*0.5</f>
        <v>265000</v>
      </c>
      <c r="G18" s="41" t="s">
        <v>48</v>
      </c>
      <c r="H18" s="42">
        <v>1150.0</v>
      </c>
      <c r="J18" s="41" t="s">
        <v>48</v>
      </c>
      <c r="K18" s="42">
        <v>2450.0</v>
      </c>
      <c r="M18" s="41" t="s">
        <v>48</v>
      </c>
      <c r="N18" s="42">
        <v>0.0</v>
      </c>
    </row>
    <row r="19">
      <c r="A19" s="41" t="s">
        <v>48</v>
      </c>
      <c r="B19" s="42">
        <v>1100.0</v>
      </c>
      <c r="D19" s="43"/>
      <c r="E19" s="36"/>
      <c r="G19" s="41" t="s">
        <v>49</v>
      </c>
      <c r="H19" s="44">
        <f>H13/H18</f>
        <v>478.2608696</v>
      </c>
      <c r="J19" s="41" t="s">
        <v>49</v>
      </c>
      <c r="K19" s="44">
        <f>K13/K18</f>
        <v>228.5714286</v>
      </c>
      <c r="M19" s="41" t="s">
        <v>49</v>
      </c>
      <c r="N19" s="44">
        <f>IFERROR(N13/N18,0)</f>
        <v>0</v>
      </c>
    </row>
    <row r="20">
      <c r="A20" s="41" t="s">
        <v>49</v>
      </c>
      <c r="B20" s="44">
        <f>B13/B19</f>
        <v>500</v>
      </c>
      <c r="D20" s="41" t="s">
        <v>48</v>
      </c>
      <c r="E20" s="42">
        <v>460.0</v>
      </c>
      <c r="G20" s="19"/>
      <c r="H20" s="37"/>
      <c r="J20" s="19"/>
      <c r="K20" s="37"/>
      <c r="M20" s="19"/>
      <c r="N20" s="37"/>
    </row>
    <row r="21">
      <c r="A21" s="45"/>
      <c r="B21" s="46"/>
      <c r="D21" s="41" t="s">
        <v>49</v>
      </c>
      <c r="E21" s="44">
        <f>E13/E20</f>
        <v>1152.173913</v>
      </c>
      <c r="G21" s="47" t="s">
        <v>50</v>
      </c>
      <c r="H21" s="48">
        <f>H22+H23</f>
        <v>60500</v>
      </c>
      <c r="J21" s="47" t="s">
        <v>50</v>
      </c>
      <c r="K21" s="48">
        <f>K22+K24+K23</f>
        <v>100800</v>
      </c>
      <c r="M21" s="47" t="s">
        <v>50</v>
      </c>
      <c r="N21" s="48">
        <f>N22+N23</f>
        <v>0</v>
      </c>
      <c r="O21" s="24" t="s">
        <v>31</v>
      </c>
    </row>
    <row r="22">
      <c r="A22" s="47" t="s">
        <v>50</v>
      </c>
      <c r="B22" s="49">
        <f>B23+B24</f>
        <v>23300</v>
      </c>
      <c r="D22" s="50"/>
      <c r="E22" s="51"/>
      <c r="G22" s="34" t="s">
        <v>51</v>
      </c>
      <c r="H22" s="37">
        <f>H13*0.1</f>
        <v>55000</v>
      </c>
      <c r="J22" s="34" t="s">
        <v>52</v>
      </c>
      <c r="K22" s="37">
        <f>K13*0.12</f>
        <v>67200</v>
      </c>
      <c r="M22" s="34" t="s">
        <v>53</v>
      </c>
      <c r="N22" s="37">
        <f>N13*O22</f>
        <v>0</v>
      </c>
      <c r="O22" s="52">
        <v>0.05</v>
      </c>
    </row>
    <row r="23">
      <c r="A23" s="53" t="s">
        <v>54</v>
      </c>
      <c r="B23" s="25">
        <f>B13*0.04</f>
        <v>22000</v>
      </c>
      <c r="D23" s="54" t="s">
        <v>50</v>
      </c>
      <c r="E23" s="55">
        <f>E24+E25</f>
        <v>15010</v>
      </c>
      <c r="G23" s="34" t="s">
        <v>55</v>
      </c>
      <c r="H23" s="37">
        <f>H13*0.01</f>
        <v>5500</v>
      </c>
      <c r="J23" s="34" t="s">
        <v>56</v>
      </c>
      <c r="K23" s="37">
        <f>K13*0.05</f>
        <v>28000</v>
      </c>
      <c r="M23" s="34" t="s">
        <v>57</v>
      </c>
      <c r="N23" s="37">
        <f>N13*O23</f>
        <v>0</v>
      </c>
      <c r="O23" s="33">
        <v>0.05</v>
      </c>
    </row>
    <row r="24">
      <c r="A24" s="53" t="s">
        <v>58</v>
      </c>
      <c r="B24" s="25">
        <v>1300.0</v>
      </c>
      <c r="D24" s="56" t="s">
        <v>59</v>
      </c>
      <c r="E24" s="57">
        <f>E13*0.017</f>
        <v>9010</v>
      </c>
      <c r="G24" s="58" t="s">
        <v>60</v>
      </c>
      <c r="H24" s="59">
        <f>H13+H21</f>
        <v>610500</v>
      </c>
      <c r="J24" s="34" t="s">
        <v>55</v>
      </c>
      <c r="K24" s="37">
        <f>K13*0.01</f>
        <v>5600</v>
      </c>
      <c r="M24" s="58" t="s">
        <v>60</v>
      </c>
      <c r="N24" s="59">
        <f>N13+N21</f>
        <v>0</v>
      </c>
    </row>
    <row r="25">
      <c r="A25" s="60" t="s">
        <v>60</v>
      </c>
      <c r="B25" s="61">
        <f>B13+B22</f>
        <v>573300</v>
      </c>
      <c r="D25" s="62" t="s">
        <v>61</v>
      </c>
      <c r="E25" s="63">
        <v>6000.0</v>
      </c>
      <c r="G25" s="19"/>
      <c r="H25" s="37"/>
      <c r="J25" s="58" t="s">
        <v>60</v>
      </c>
      <c r="K25" s="59">
        <f>K13+K21</f>
        <v>660800</v>
      </c>
      <c r="M25" s="19"/>
      <c r="N25" s="37"/>
    </row>
    <row r="26">
      <c r="A26" s="39"/>
      <c r="B26" s="40"/>
      <c r="D26" s="58" t="s">
        <v>60</v>
      </c>
      <c r="E26" s="59">
        <f>E13+E23</f>
        <v>545010</v>
      </c>
      <c r="G26" s="64" t="s">
        <v>62</v>
      </c>
      <c r="H26" s="65">
        <v>28630.0</v>
      </c>
      <c r="J26" s="19"/>
      <c r="K26" s="37"/>
      <c r="M26" s="64" t="s">
        <v>62</v>
      </c>
      <c r="N26" s="65" t="s">
        <v>63</v>
      </c>
    </row>
    <row r="27">
      <c r="A27" s="64" t="s">
        <v>62</v>
      </c>
      <c r="B27" s="66">
        <f>(B25*0.079)+B28</f>
        <v>49786.61281</v>
      </c>
      <c r="D27" s="19"/>
      <c r="E27" s="37"/>
      <c r="G27" s="67" t="s">
        <v>64</v>
      </c>
      <c r="H27" s="68">
        <f>SUM(H28:H32)</f>
        <v>12652.7</v>
      </c>
      <c r="J27" s="64" t="s">
        <v>62</v>
      </c>
      <c r="K27" s="65">
        <v>38650.0</v>
      </c>
      <c r="M27" s="67" t="s">
        <v>64</v>
      </c>
      <c r="N27" s="68">
        <f>IFERROR(SUM(N28:N32),0)</f>
        <v>0</v>
      </c>
      <c r="O27" s="24" t="s">
        <v>31</v>
      </c>
    </row>
    <row r="28">
      <c r="A28" s="69" t="s">
        <v>65</v>
      </c>
      <c r="B28" s="70">
        <f>15/3.67*B19</f>
        <v>4495.912807</v>
      </c>
      <c r="D28" s="64" t="s">
        <v>62</v>
      </c>
      <c r="E28" s="65">
        <v>41760.0</v>
      </c>
      <c r="G28" s="71" t="s">
        <v>66</v>
      </c>
      <c r="H28" s="72">
        <v>1750.0</v>
      </c>
      <c r="J28" s="67" t="s">
        <v>64</v>
      </c>
      <c r="K28" s="68">
        <f>SUM(K29:K33)</f>
        <v>13235</v>
      </c>
      <c r="M28" s="71" t="s">
        <v>67</v>
      </c>
      <c r="N28" s="73" t="s">
        <v>68</v>
      </c>
      <c r="O28" s="74">
        <v>100.0</v>
      </c>
    </row>
    <row r="29">
      <c r="A29" s="75"/>
      <c r="B29" s="76"/>
      <c r="D29" s="67" t="s">
        <v>64</v>
      </c>
      <c r="E29" s="68">
        <f>SUM(E30:E33)</f>
        <v>21623.04</v>
      </c>
      <c r="G29" s="77" t="s">
        <v>69</v>
      </c>
      <c r="H29" s="78">
        <f>H13*0.004</f>
        <v>2200</v>
      </c>
      <c r="J29" s="71" t="s">
        <v>66</v>
      </c>
      <c r="K29" s="72">
        <v>160.0</v>
      </c>
      <c r="M29" s="77" t="s">
        <v>70</v>
      </c>
      <c r="N29" s="78">
        <f>N13*O29</f>
        <v>0</v>
      </c>
      <c r="O29" s="79">
        <v>0.05</v>
      </c>
    </row>
    <row r="30">
      <c r="A30" s="80" t="s">
        <v>71</v>
      </c>
      <c r="B30" s="81">
        <f>B27-B28</f>
        <v>45290.7</v>
      </c>
      <c r="D30" s="82" t="s">
        <v>72</v>
      </c>
      <c r="E30" s="83">
        <f>E20*1.2*12</f>
        <v>6624</v>
      </c>
      <c r="G30" s="77" t="s">
        <v>73</v>
      </c>
      <c r="H30" s="84">
        <v>400.0</v>
      </c>
      <c r="J30" s="77" t="s">
        <v>74</v>
      </c>
      <c r="K30" s="78">
        <f>K14*0.005</f>
        <v>280</v>
      </c>
      <c r="M30" s="77" t="s">
        <v>73</v>
      </c>
      <c r="N30" s="85" t="s">
        <v>68</v>
      </c>
      <c r="O30" s="86">
        <v>100.0</v>
      </c>
    </row>
    <row r="31">
      <c r="A31" s="87"/>
      <c r="B31" s="87"/>
      <c r="D31" s="26" t="s">
        <v>75</v>
      </c>
      <c r="E31" s="18">
        <f>E13*0.012</f>
        <v>6360</v>
      </c>
      <c r="G31" s="77" t="s">
        <v>76</v>
      </c>
      <c r="H31" s="78">
        <f>H26*0.05</f>
        <v>1431.5</v>
      </c>
      <c r="J31" s="77" t="s">
        <v>73</v>
      </c>
      <c r="K31" s="84">
        <v>1200.0</v>
      </c>
      <c r="M31" s="77" t="s">
        <v>77</v>
      </c>
      <c r="N31" s="78">
        <f>IFERROR(N26*O31,0)</f>
        <v>0</v>
      </c>
      <c r="O31" s="79">
        <v>0.05</v>
      </c>
    </row>
    <row r="32">
      <c r="A32" s="88" t="s">
        <v>78</v>
      </c>
      <c r="B32" s="89">
        <v>0.079</v>
      </c>
      <c r="D32" s="77" t="s">
        <v>79</v>
      </c>
      <c r="E32" s="90">
        <v>2280.0</v>
      </c>
      <c r="G32" s="31" t="s">
        <v>80</v>
      </c>
      <c r="H32" s="91">
        <f>H26*0.24</f>
        <v>6871.2</v>
      </c>
      <c r="J32" s="77" t="s">
        <v>81</v>
      </c>
      <c r="K32" s="78">
        <f>K27*0.1</f>
        <v>3865</v>
      </c>
      <c r="M32" s="31" t="s">
        <v>82</v>
      </c>
      <c r="N32" s="92">
        <f>IFERROR(N26*O32,0)</f>
        <v>0</v>
      </c>
      <c r="O32" s="93">
        <v>0.01</v>
      </c>
    </row>
    <row r="33">
      <c r="A33" s="94" t="s">
        <v>83</v>
      </c>
      <c r="B33" s="95">
        <v>0.32</v>
      </c>
      <c r="D33" s="31" t="s">
        <v>84</v>
      </c>
      <c r="E33" s="96">
        <f>(E28-E30-E31-E32)*0.24</f>
        <v>6359.04</v>
      </c>
      <c r="G33" s="19"/>
      <c r="H33" s="37"/>
      <c r="J33" s="31" t="s">
        <v>85</v>
      </c>
      <c r="K33" s="91">
        <f>K27*0.2</f>
        <v>7730</v>
      </c>
      <c r="M33" s="19"/>
      <c r="N33" s="37"/>
    </row>
    <row r="34">
      <c r="A34" s="87"/>
      <c r="B34" s="97"/>
      <c r="D34" s="19"/>
      <c r="E34" s="37"/>
      <c r="G34" s="98" t="s">
        <v>71</v>
      </c>
      <c r="H34" s="99">
        <f>H26-H27</f>
        <v>15977.3</v>
      </c>
      <c r="J34" s="19"/>
      <c r="K34" s="37"/>
      <c r="M34" s="98" t="s">
        <v>71</v>
      </c>
      <c r="N34" s="99">
        <f>IFERROR(N26-N27,0)</f>
        <v>0</v>
      </c>
    </row>
    <row r="35">
      <c r="A35" s="87"/>
      <c r="B35" s="87"/>
      <c r="D35" s="98" t="s">
        <v>71</v>
      </c>
      <c r="E35" s="99">
        <f>E28-E29</f>
        <v>20136.96</v>
      </c>
      <c r="J35" s="98" t="s">
        <v>71</v>
      </c>
      <c r="K35" s="99">
        <f>K27-K28</f>
        <v>25415</v>
      </c>
    </row>
    <row r="36">
      <c r="A36" s="87"/>
      <c r="B36" s="87"/>
      <c r="D36" s="87"/>
      <c r="E36" s="87"/>
      <c r="G36" s="88" t="s">
        <v>78</v>
      </c>
      <c r="H36" s="89">
        <f>H34/H24</f>
        <v>0.02617084357</v>
      </c>
      <c r="M36" s="100" t="s">
        <v>78</v>
      </c>
      <c r="N36" s="101">
        <f>IFERROR(N34/N24,0)</f>
        <v>0</v>
      </c>
    </row>
    <row r="37">
      <c r="A37" s="87"/>
      <c r="B37" s="87"/>
      <c r="D37" s="88" t="s">
        <v>78</v>
      </c>
      <c r="E37" s="89">
        <f>E35/E26</f>
        <v>0.03694787252</v>
      </c>
      <c r="G37" s="94" t="s">
        <v>83</v>
      </c>
      <c r="H37" s="95">
        <v>0.35</v>
      </c>
      <c r="J37" s="88" t="s">
        <v>78</v>
      </c>
      <c r="K37" s="89">
        <f>K35/K25</f>
        <v>0.03846095642</v>
      </c>
    </row>
    <row r="38">
      <c r="A38" s="87"/>
      <c r="B38" s="87"/>
      <c r="D38" s="94" t="s">
        <v>83</v>
      </c>
      <c r="E38" s="95">
        <v>0.16</v>
      </c>
      <c r="G38" s="24"/>
      <c r="H38" s="24"/>
      <c r="J38" s="94" t="s">
        <v>86</v>
      </c>
      <c r="K38" s="95">
        <v>0.2</v>
      </c>
    </row>
    <row r="39">
      <c r="G39" s="24"/>
      <c r="J39" s="24"/>
    </row>
    <row r="40">
      <c r="G40" s="24"/>
      <c r="J40" s="24"/>
      <c r="K40" s="24"/>
    </row>
    <row r="41">
      <c r="D41" s="24"/>
      <c r="J41" s="24"/>
    </row>
    <row r="42">
      <c r="D42" s="24"/>
      <c r="G42" s="24"/>
      <c r="J42" s="24"/>
      <c r="K42" s="24"/>
    </row>
    <row r="43">
      <c r="D43" s="24"/>
      <c r="J43" s="24"/>
    </row>
    <row r="44">
      <c r="D44" s="24"/>
      <c r="E44" s="24"/>
      <c r="G44" s="24"/>
      <c r="H44" s="102"/>
      <c r="J44" s="24"/>
    </row>
    <row r="45">
      <c r="D45" s="24"/>
    </row>
    <row r="46">
      <c r="D46" s="24"/>
      <c r="J46" s="24"/>
    </row>
    <row r="48">
      <c r="D48" s="24"/>
      <c r="J48" s="24"/>
      <c r="K48" s="102"/>
    </row>
    <row r="50">
      <c r="D50" s="24"/>
      <c r="E50" s="102"/>
    </row>
  </sheetData>
  <mergeCells count="5">
    <mergeCell ref="A6:B6"/>
    <mergeCell ref="D6:E6"/>
    <mergeCell ref="G6:H6"/>
    <mergeCell ref="J6:K6"/>
    <mergeCell ref="M6:N6"/>
  </mergeCells>
  <hyperlinks>
    <hyperlink r:id="rId1" ref="B7"/>
  </hyperlinks>
  <drawing r:id="rId2"/>
</worksheet>
</file>